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0980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'Sheet1'!$A$1:$S$50</definedName>
    <definedName name="Z_BE8583E1_C849_4B44_AB9B_3475BD855D79_.wvu.PrintArea" localSheetId="0" hidden="1">'Sheet1'!$A$1:$R$50</definedName>
  </definedNames>
  <calcPr fullCalcOnLoad="1"/>
</workbook>
</file>

<file path=xl/sharedStrings.xml><?xml version="1.0" encoding="utf-8"?>
<sst xmlns="http://schemas.openxmlformats.org/spreadsheetml/2006/main" count="55" uniqueCount="45">
  <si>
    <t xml:space="preserve">Name </t>
  </si>
  <si>
    <t xml:space="preserve">As on 01.09.2008  : </t>
  </si>
  <si>
    <t>DA (16%)</t>
  </si>
  <si>
    <t>TOTAL</t>
  </si>
  <si>
    <t>Details</t>
  </si>
  <si>
    <t>1.1.2006</t>
  </si>
  <si>
    <t>1.7.2006</t>
  </si>
  <si>
    <t>1.1.2007</t>
  </si>
  <si>
    <t>1.7.2007</t>
  </si>
  <si>
    <t>1.1.2008</t>
  </si>
  <si>
    <t>1.7.2008</t>
  </si>
  <si>
    <t>1.9.2008</t>
  </si>
  <si>
    <t>Old DA (%)</t>
  </si>
  <si>
    <t>New DA(%)</t>
  </si>
  <si>
    <t>Total</t>
  </si>
  <si>
    <t>Month</t>
  </si>
  <si>
    <t>DP</t>
  </si>
  <si>
    <t>Arrears</t>
  </si>
  <si>
    <t>Total Arrears :   Rs.</t>
  </si>
  <si>
    <t>Arrears in the year -&gt; 2008 to 2009 (40%)  =  Rs.</t>
  </si>
  <si>
    <t>Arrears in the year -&gt; 2009 to 2010 (60%)  = Rs.</t>
  </si>
  <si>
    <t>G T</t>
  </si>
  <si>
    <r>
      <rPr>
        <sz val="11"/>
        <rFont val="Bodoni MT"/>
        <family val="1"/>
      </rPr>
      <t>www.postalinfo.blogspot.com</t>
    </r>
    <r>
      <rPr>
        <sz val="11"/>
        <color indexed="36"/>
        <rFont val="Bradley Hand ITC"/>
        <family val="4"/>
      </rPr>
      <t xml:space="preserve">  </t>
    </r>
    <r>
      <rPr>
        <b/>
        <sz val="10"/>
        <color indexed="36"/>
        <rFont val="Bradley Hand ITC"/>
        <family val="4"/>
      </rPr>
      <t xml:space="preserve">    </t>
    </r>
    <r>
      <rPr>
        <b/>
        <sz val="18"/>
        <color indexed="36"/>
        <rFont val="Bradley Hand ITC"/>
        <family val="4"/>
      </rPr>
      <t xml:space="preserve">   </t>
    </r>
    <r>
      <rPr>
        <b/>
        <sz val="18"/>
        <color indexed="36"/>
        <rFont val="Bernard MT Condensed"/>
        <family val="1"/>
      </rPr>
      <t xml:space="preserve">                             </t>
    </r>
    <r>
      <rPr>
        <b/>
        <sz val="18"/>
        <color indexed="36"/>
        <rFont val="Bookman Old Style"/>
        <family val="1"/>
      </rPr>
      <t xml:space="preserve"> </t>
    </r>
    <r>
      <rPr>
        <b/>
        <sz val="16"/>
        <color indexed="36"/>
        <rFont val="Bookman Old Style"/>
        <family val="1"/>
      </rPr>
      <t>Info</t>
    </r>
    <r>
      <rPr>
        <b/>
        <sz val="8"/>
        <color indexed="36"/>
        <rFont val="Bodoni MT Black"/>
        <family val="1"/>
      </rPr>
      <t>@</t>
    </r>
    <r>
      <rPr>
        <b/>
        <sz val="16"/>
        <color indexed="36"/>
        <rFont val="Bookman Old Style"/>
        <family val="1"/>
      </rPr>
      <t>net Calculator</t>
    </r>
  </si>
  <si>
    <t>Arrear Pension Due /Drawn Statement on implementation of CCS(Revised) Pay Rules-2008 (w.e.f 01-01-2006)</t>
  </si>
  <si>
    <t>PPO NO</t>
  </si>
  <si>
    <t>Old Pension as on 1.1.2006</t>
  </si>
  <si>
    <t>Name of Pensioner</t>
  </si>
  <si>
    <t>Commutation</t>
  </si>
  <si>
    <t>Revised Pension</t>
  </si>
  <si>
    <t>Addl.Pension</t>
  </si>
  <si>
    <t>Addl.Pension(%)</t>
  </si>
  <si>
    <t>New Pension</t>
  </si>
  <si>
    <t>DR</t>
  </si>
  <si>
    <t>F M A</t>
  </si>
  <si>
    <t>Pension</t>
  </si>
  <si>
    <t xml:space="preserve"> Pension</t>
  </si>
  <si>
    <t xml:space="preserve">     Old Pension</t>
  </si>
  <si>
    <t xml:space="preserve">   New Pension</t>
  </si>
  <si>
    <t>(Including Addl.Pension)</t>
  </si>
  <si>
    <t xml:space="preserve">             Pension  Fixed as on 1.1.2006 :</t>
  </si>
  <si>
    <t>Sr.Postmaster                                                                                   Berhampur HO 760 001</t>
  </si>
  <si>
    <t>FMA</t>
  </si>
  <si>
    <t>Comm</t>
  </si>
  <si>
    <t>Where DP Exists</t>
  </si>
  <si>
    <t>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</si>
</sst>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36"/>
      <name val="Bernard MT Condensed"/>
      <family val="1"/>
    </font>
    <font>
      <b/>
      <sz val="10"/>
      <color indexed="36"/>
      <name val="Bradley Hand ITC"/>
      <family val="4"/>
    </font>
    <font>
      <b/>
      <sz val="18"/>
      <color indexed="36"/>
      <name val="Bradley Hand ITC"/>
      <family val="4"/>
    </font>
    <font>
      <b/>
      <sz val="18"/>
      <color indexed="36"/>
      <name val="Bookman Old Style"/>
      <family val="1"/>
    </font>
    <font>
      <b/>
      <sz val="16"/>
      <color indexed="36"/>
      <name val="Bookman Old Style"/>
      <family val="1"/>
    </font>
    <font>
      <sz val="11"/>
      <color indexed="36"/>
      <name val="Bradley Hand ITC"/>
      <family val="4"/>
    </font>
    <font>
      <sz val="11"/>
      <name val="Bodoni MT"/>
      <family val="1"/>
    </font>
    <font>
      <b/>
      <sz val="8"/>
      <color indexed="36"/>
      <name val="Bodoni MT Blac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2"/>
      <color indexed="10"/>
      <name val="Calibri"/>
      <family val="2"/>
    </font>
    <font>
      <b/>
      <sz val="11"/>
      <color indexed="13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4" tint="-0.4999699890613556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sz val="12"/>
      <color theme="1" tint="0.04998999834060669"/>
      <name val="Calibri"/>
      <family val="2"/>
    </font>
    <font>
      <b/>
      <sz val="11"/>
      <color theme="9" tint="-0.4999699890613556"/>
      <name val="Calibri"/>
      <family val="2"/>
    </font>
    <font>
      <b/>
      <sz val="18"/>
      <color rgb="FF7030A0"/>
      <name val="Bernard MT Condensed"/>
      <family val="1"/>
    </font>
    <font>
      <b/>
      <sz val="10"/>
      <color rgb="FFFF0000"/>
      <name val="Calibri"/>
      <family val="2"/>
    </font>
    <font>
      <b/>
      <sz val="11"/>
      <color rgb="FF00B05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54" fillId="36" borderId="10" xfId="0" applyFont="1" applyFill="1" applyBorder="1" applyAlignment="1">
      <alignment/>
    </xf>
    <xf numFmtId="0" fontId="55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56" fillId="7" borderId="0" xfId="0" applyFont="1" applyFill="1" applyBorder="1" applyAlignment="1">
      <alignment/>
    </xf>
    <xf numFmtId="0" fontId="55" fillId="11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38" borderId="0" xfId="0" applyFont="1" applyFill="1" applyBorder="1" applyAlignment="1">
      <alignment/>
    </xf>
    <xf numFmtId="0" fontId="55" fillId="38" borderId="0" xfId="0" applyFont="1" applyFill="1" applyBorder="1" applyAlignment="1">
      <alignment horizontal="center"/>
    </xf>
    <xf numFmtId="0" fontId="55" fillId="39" borderId="0" xfId="0" applyFont="1" applyFill="1" applyBorder="1" applyAlignment="1">
      <alignment/>
    </xf>
    <xf numFmtId="0" fontId="55" fillId="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 horizontal="right" wrapText="1"/>
    </xf>
    <xf numFmtId="0" fontId="0" fillId="7" borderId="10" xfId="0" applyFill="1" applyBorder="1" applyAlignment="1">
      <alignment horizontal="center"/>
    </xf>
    <xf numFmtId="0" fontId="54" fillId="40" borderId="10" xfId="0" applyFont="1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57" fillId="42" borderId="13" xfId="0" applyFont="1" applyFill="1" applyBorder="1" applyAlignment="1" applyProtection="1">
      <alignment/>
      <protection locked="0"/>
    </xf>
    <xf numFmtId="0" fontId="57" fillId="42" borderId="10" xfId="0" applyFont="1" applyFill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0" fontId="54" fillId="40" borderId="10" xfId="0" applyFont="1" applyFill="1" applyBorder="1" applyAlignment="1" applyProtection="1">
      <alignment/>
      <protection locked="0"/>
    </xf>
    <xf numFmtId="0" fontId="59" fillId="0" borderId="0" xfId="0" applyFont="1" applyAlignment="1">
      <alignment horizontal="center" vertical="justify"/>
    </xf>
    <xf numFmtId="0" fontId="0" fillId="0" borderId="0" xfId="0" applyAlignment="1">
      <alignment vertical="top"/>
    </xf>
    <xf numFmtId="0" fontId="60" fillId="43" borderId="0" xfId="0" applyFont="1" applyFill="1" applyBorder="1" applyAlignment="1">
      <alignment/>
    </xf>
    <xf numFmtId="0" fontId="61" fillId="0" borderId="0" xfId="0" applyFont="1" applyAlignment="1" applyProtection="1">
      <alignment horizontal="center"/>
      <protection/>
    </xf>
    <xf numFmtId="0" fontId="0" fillId="43" borderId="0" xfId="0" applyFill="1" applyAlignment="1">
      <alignment/>
    </xf>
    <xf numFmtId="0" fontId="0" fillId="43" borderId="0" xfId="0" applyFill="1" applyAlignment="1">
      <alignment horizontal="right"/>
    </xf>
    <xf numFmtId="0" fontId="2" fillId="43" borderId="10" xfId="0" applyFont="1" applyFill="1" applyBorder="1" applyAlignment="1">
      <alignment horizontal="center"/>
    </xf>
    <xf numFmtId="0" fontId="0" fillId="43" borderId="0" xfId="0" applyFill="1" applyAlignment="1">
      <alignment horizontal="center"/>
    </xf>
    <xf numFmtId="0" fontId="0" fillId="43" borderId="0" xfId="0" applyFont="1" applyFill="1" applyAlignment="1">
      <alignment horizontal="center"/>
    </xf>
    <xf numFmtId="0" fontId="55" fillId="43" borderId="0" xfId="0" applyFont="1" applyFill="1" applyAlignment="1">
      <alignment horizontal="center"/>
    </xf>
    <xf numFmtId="17" fontId="62" fillId="43" borderId="10" xfId="0" applyNumberFormat="1" applyFont="1" applyFill="1" applyBorder="1" applyAlignment="1">
      <alignment horizontal="center"/>
    </xf>
    <xf numFmtId="0" fontId="62" fillId="43" borderId="10" xfId="0" applyFont="1" applyFill="1" applyBorder="1" applyAlignment="1" applyProtection="1">
      <alignment/>
      <protection locked="0"/>
    </xf>
    <xf numFmtId="0" fontId="62" fillId="43" borderId="10" xfId="0" applyFont="1" applyFill="1" applyBorder="1" applyAlignment="1">
      <alignment/>
    </xf>
    <xf numFmtId="17" fontId="58" fillId="43" borderId="10" xfId="0" applyNumberFormat="1" applyFont="1" applyFill="1" applyBorder="1" applyAlignment="1">
      <alignment horizontal="center"/>
    </xf>
    <xf numFmtId="0" fontId="58" fillId="43" borderId="10" xfId="0" applyFont="1" applyFill="1" applyBorder="1" applyAlignment="1" applyProtection="1">
      <alignment/>
      <protection locked="0"/>
    </xf>
    <xf numFmtId="0" fontId="58" fillId="43" borderId="10" xfId="0" applyFont="1" applyFill="1" applyBorder="1" applyAlignment="1">
      <alignment/>
    </xf>
    <xf numFmtId="0" fontId="3" fillId="43" borderId="10" xfId="0" applyFont="1" applyFill="1" applyBorder="1" applyAlignment="1" applyProtection="1">
      <alignment/>
      <protection locked="0"/>
    </xf>
    <xf numFmtId="0" fontId="0" fillId="43" borderId="0" xfId="0" applyFont="1" applyFill="1" applyAlignment="1">
      <alignment/>
    </xf>
    <xf numFmtId="0" fontId="63" fillId="0" borderId="0" xfId="0" applyFont="1" applyAlignment="1" applyProtection="1">
      <alignment horizontal="center" vertical="justify"/>
      <protection locked="0"/>
    </xf>
    <xf numFmtId="0" fontId="52" fillId="0" borderId="0" xfId="0" applyFont="1" applyAlignment="1">
      <alignment horizontal="center" vertical="justify"/>
    </xf>
    <xf numFmtId="0" fontId="57" fillId="41" borderId="14" xfId="0" applyFont="1" applyFill="1" applyBorder="1" applyAlignment="1" applyProtection="1">
      <alignment horizontal="center"/>
      <protection locked="0"/>
    </xf>
    <xf numFmtId="0" fontId="57" fillId="41" borderId="15" xfId="0" applyFont="1" applyFill="1" applyBorder="1" applyAlignment="1" applyProtection="1">
      <alignment horizontal="center"/>
      <protection locked="0"/>
    </xf>
    <xf numFmtId="0" fontId="57" fillId="41" borderId="11" xfId="0" applyFont="1" applyFill="1" applyBorder="1" applyAlignment="1" applyProtection="1">
      <alignment horizontal="center"/>
      <protection locked="0"/>
    </xf>
    <xf numFmtId="164" fontId="64" fillId="41" borderId="0" xfId="0" applyNumberFormat="1" applyFont="1" applyFill="1" applyAlignment="1">
      <alignment horizontal="center" vertical="justify"/>
    </xf>
    <xf numFmtId="49" fontId="65" fillId="0" borderId="16" xfId="0" applyNumberFormat="1" applyFont="1" applyBorder="1" applyAlignment="1" applyProtection="1">
      <alignment horizontal="center"/>
      <protection/>
    </xf>
    <xf numFmtId="49" fontId="65" fillId="0" borderId="17" xfId="0" applyNumberFormat="1" applyFont="1" applyBorder="1" applyAlignment="1" applyProtection="1">
      <alignment horizontal="center"/>
      <protection/>
    </xf>
    <xf numFmtId="0" fontId="66" fillId="0" borderId="18" xfId="0" applyFont="1" applyBorder="1" applyAlignment="1" applyProtection="1">
      <alignment horizontal="center"/>
      <protection locked="0"/>
    </xf>
    <xf numFmtId="0" fontId="60" fillId="44" borderId="1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60" workbookViewId="0" topLeftCell="A1">
      <selection activeCell="B7" sqref="B7"/>
    </sheetView>
  </sheetViews>
  <sheetFormatPr defaultColWidth="9.140625" defaultRowHeight="15"/>
  <cols>
    <col min="1" max="1" width="31.140625" style="0" customWidth="1"/>
    <col min="3" max="3" width="9.140625" style="0" customWidth="1"/>
    <col min="4" max="4" width="11.00390625" style="0" customWidth="1"/>
    <col min="5" max="5" width="10.140625" style="0" customWidth="1"/>
    <col min="6" max="6" width="8.28125" style="0" customWidth="1"/>
    <col min="7" max="7" width="8.00390625" style="0" customWidth="1"/>
    <col min="8" max="8" width="7.00390625" style="0" customWidth="1"/>
    <col min="9" max="9" width="9.140625" style="0" customWidth="1"/>
    <col min="11" max="11" width="8.8515625" style="0" customWidth="1"/>
    <col min="12" max="12" width="9.140625" style="0" customWidth="1"/>
    <col min="14" max="14" width="8.421875" style="0" customWidth="1"/>
    <col min="15" max="15" width="6.28125" style="0" customWidth="1"/>
    <col min="16" max="16" width="9.140625" style="0" customWidth="1"/>
    <col min="17" max="17" width="9.00390625" style="39" customWidth="1"/>
  </cols>
  <sheetData>
    <row r="1" spans="1:17" s="15" customFormat="1" ht="27.75" customHeight="1">
      <c r="A1" s="38" t="s">
        <v>43</v>
      </c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36.75" customHeight="1">
      <c r="A2" s="25" t="s">
        <v>0</v>
      </c>
      <c r="B2" s="55" t="s">
        <v>26</v>
      </c>
      <c r="C2" s="56"/>
      <c r="D2" s="56"/>
      <c r="E2" s="56"/>
      <c r="F2" s="57"/>
      <c r="G2" s="12"/>
      <c r="H2" s="1"/>
      <c r="I2" s="39"/>
      <c r="J2" s="39"/>
      <c r="K2" s="40" t="s">
        <v>39</v>
      </c>
      <c r="L2" s="41">
        <f>B31</f>
        <v>3500</v>
      </c>
      <c r="M2" s="39" t="s">
        <v>38</v>
      </c>
      <c r="N2" s="39"/>
      <c r="O2" s="39"/>
      <c r="P2" s="39"/>
      <c r="R2" s="15"/>
    </row>
    <row r="3" spans="1:18" ht="32.25" customHeight="1">
      <c r="A3" s="25" t="s">
        <v>25</v>
      </c>
      <c r="B3" s="31">
        <v>1275</v>
      </c>
      <c r="C3" s="15"/>
      <c r="D3" s="61" t="s">
        <v>24</v>
      </c>
      <c r="E3" s="61"/>
      <c r="F3" s="61"/>
      <c r="G3" s="15"/>
      <c r="H3" s="1"/>
      <c r="I3" s="42" t="s">
        <v>15</v>
      </c>
      <c r="J3" s="39"/>
      <c r="K3" s="39" t="s">
        <v>36</v>
      </c>
      <c r="L3" s="39"/>
      <c r="M3" s="39"/>
      <c r="N3" s="39"/>
      <c r="O3" s="39" t="s">
        <v>37</v>
      </c>
      <c r="P3" s="39"/>
      <c r="R3" s="35"/>
    </row>
    <row r="4" spans="1:18" ht="16.5" customHeight="1">
      <c r="A4" s="25" t="s">
        <v>16</v>
      </c>
      <c r="B4" s="32">
        <f>ROUND(50/100*B3,0)</f>
        <v>638</v>
      </c>
      <c r="C4" s="15"/>
      <c r="D4" s="58" t="s">
        <v>22</v>
      </c>
      <c r="E4" s="58"/>
      <c r="F4" s="58"/>
      <c r="G4" s="58"/>
      <c r="H4" s="1"/>
      <c r="I4" s="39"/>
      <c r="J4" s="42" t="s">
        <v>34</v>
      </c>
      <c r="K4" s="43" t="s">
        <v>16</v>
      </c>
      <c r="L4" s="42" t="s">
        <v>32</v>
      </c>
      <c r="M4" s="43" t="s">
        <v>14</v>
      </c>
      <c r="N4" s="44" t="s">
        <v>34</v>
      </c>
      <c r="O4" s="42" t="s">
        <v>32</v>
      </c>
      <c r="P4" s="43" t="s">
        <v>14</v>
      </c>
      <c r="Q4" s="43" t="s">
        <v>17</v>
      </c>
      <c r="R4" s="15"/>
    </row>
    <row r="5" spans="1:18" ht="18.75" customHeight="1">
      <c r="A5" s="25" t="s">
        <v>27</v>
      </c>
      <c r="B5" s="32">
        <v>0</v>
      </c>
      <c r="C5" s="15"/>
      <c r="D5" s="58"/>
      <c r="E5" s="58"/>
      <c r="F5" s="58"/>
      <c r="G5" s="58"/>
      <c r="H5" s="1"/>
      <c r="I5" s="45">
        <v>38718</v>
      </c>
      <c r="J5" s="46">
        <f>B3</f>
        <v>1275</v>
      </c>
      <c r="K5" s="47">
        <f>ROUND(50/100*J5,0)</f>
        <v>638</v>
      </c>
      <c r="L5" s="47">
        <f aca="true" t="shared" si="0" ref="L5:L10">ROUNDUP(((J5+K5)*0.24),0)</f>
        <v>460</v>
      </c>
      <c r="M5" s="47">
        <f>SUM(J5:L5)</f>
        <v>2373</v>
      </c>
      <c r="N5" s="46">
        <f>B31</f>
        <v>3500</v>
      </c>
      <c r="O5" s="47">
        <f aca="true" t="shared" si="1" ref="O5:O10">N5*0</f>
        <v>0</v>
      </c>
      <c r="P5" s="47">
        <f>SUM(N5:O5)</f>
        <v>3500</v>
      </c>
      <c r="Q5" s="47">
        <f aca="true" t="shared" si="2" ref="Q5:Q36">(P5-M5)</f>
        <v>1127</v>
      </c>
      <c r="R5" s="33"/>
    </row>
    <row r="6" spans="1:18" ht="14.25" customHeight="1">
      <c r="A6" s="25" t="s">
        <v>30</v>
      </c>
      <c r="B6" s="32">
        <v>0</v>
      </c>
      <c r="C6" s="15"/>
      <c r="D6" s="58"/>
      <c r="E6" s="58"/>
      <c r="F6" s="58"/>
      <c r="G6" s="58"/>
      <c r="H6" s="1"/>
      <c r="I6" s="45">
        <v>38749</v>
      </c>
      <c r="J6" s="46">
        <f>IF(B5=2,J5+B4,J5)</f>
        <v>1275</v>
      </c>
      <c r="K6" s="47">
        <f aca="true" t="shared" si="3" ref="K6:K36">ROUND(50/100*J6,0)</f>
        <v>638</v>
      </c>
      <c r="L6" s="47">
        <f t="shared" si="0"/>
        <v>460</v>
      </c>
      <c r="M6" s="47">
        <f aca="true" t="shared" si="4" ref="M6:M36">SUM(J6:L6)</f>
        <v>2373</v>
      </c>
      <c r="N6" s="46">
        <f>N5</f>
        <v>3500</v>
      </c>
      <c r="O6" s="47">
        <f t="shared" si="1"/>
        <v>0</v>
      </c>
      <c r="P6" s="47">
        <f>SUM(N6:O6)</f>
        <v>3500</v>
      </c>
      <c r="Q6" s="47">
        <f t="shared" si="2"/>
        <v>1127</v>
      </c>
      <c r="R6" s="33"/>
    </row>
    <row r="7" spans="1:18" ht="15" customHeight="1">
      <c r="A7" s="25" t="s">
        <v>41</v>
      </c>
      <c r="B7" s="32">
        <v>0</v>
      </c>
      <c r="C7" s="15"/>
      <c r="D7" s="15"/>
      <c r="E7" s="15"/>
      <c r="F7" s="15"/>
      <c r="H7" s="1"/>
      <c r="I7" s="45">
        <v>38777</v>
      </c>
      <c r="J7" s="46">
        <f>IF(B5=3,J6+B4,J6)</f>
        <v>1275</v>
      </c>
      <c r="K7" s="47">
        <f t="shared" si="3"/>
        <v>638</v>
      </c>
      <c r="L7" s="47">
        <f t="shared" si="0"/>
        <v>460</v>
      </c>
      <c r="M7" s="47">
        <f t="shared" si="4"/>
        <v>2373</v>
      </c>
      <c r="N7" s="46">
        <f aca="true" t="shared" si="5" ref="N7:N22">N6</f>
        <v>3500</v>
      </c>
      <c r="O7" s="47">
        <f t="shared" si="1"/>
        <v>0</v>
      </c>
      <c r="P7" s="47">
        <f aca="true" t="shared" si="6" ref="P7:P36">SUM(N7:O7)</f>
        <v>3500</v>
      </c>
      <c r="Q7" s="47">
        <f t="shared" si="2"/>
        <v>1127</v>
      </c>
      <c r="R7" s="33"/>
    </row>
    <row r="8" spans="1:18" ht="14.25" customHeight="1">
      <c r="A8" s="25"/>
      <c r="B8" s="32">
        <v>0</v>
      </c>
      <c r="C8" s="1"/>
      <c r="H8" s="1"/>
      <c r="I8" s="45">
        <v>38808</v>
      </c>
      <c r="J8" s="46">
        <f>IF(B5=4,J7+B4,J7)</f>
        <v>1275</v>
      </c>
      <c r="K8" s="47">
        <f t="shared" si="3"/>
        <v>638</v>
      </c>
      <c r="L8" s="47">
        <f t="shared" si="0"/>
        <v>460</v>
      </c>
      <c r="M8" s="47">
        <f t="shared" si="4"/>
        <v>2373</v>
      </c>
      <c r="N8" s="46">
        <f t="shared" si="5"/>
        <v>3500</v>
      </c>
      <c r="O8" s="47">
        <f t="shared" si="1"/>
        <v>0</v>
      </c>
      <c r="P8" s="47">
        <f t="shared" si="6"/>
        <v>3500</v>
      </c>
      <c r="Q8" s="47">
        <f t="shared" si="2"/>
        <v>1127</v>
      </c>
      <c r="R8" s="33"/>
    </row>
    <row r="9" spans="1:18" ht="15.75">
      <c r="A9" s="37"/>
      <c r="B9" s="1"/>
      <c r="C9" s="1"/>
      <c r="D9" s="36"/>
      <c r="E9" s="36"/>
      <c r="H9" s="1"/>
      <c r="I9" s="45">
        <v>38838</v>
      </c>
      <c r="J9" s="46">
        <f>IF(B5=5,J8+B4,J8)</f>
        <v>1275</v>
      </c>
      <c r="K9" s="47">
        <f t="shared" si="3"/>
        <v>638</v>
      </c>
      <c r="L9" s="47">
        <f t="shared" si="0"/>
        <v>460</v>
      </c>
      <c r="M9" s="47">
        <f t="shared" si="4"/>
        <v>2373</v>
      </c>
      <c r="N9" s="46">
        <f t="shared" si="5"/>
        <v>3500</v>
      </c>
      <c r="O9" s="47">
        <f t="shared" si="1"/>
        <v>0</v>
      </c>
      <c r="P9" s="47">
        <f t="shared" si="6"/>
        <v>3500</v>
      </c>
      <c r="Q9" s="47">
        <f t="shared" si="2"/>
        <v>1127</v>
      </c>
      <c r="R9" s="33"/>
    </row>
    <row r="10" spans="1:18" ht="15.75">
      <c r="A10" s="37"/>
      <c r="B10" s="1"/>
      <c r="C10" s="1"/>
      <c r="D10" s="1"/>
      <c r="E10" s="1"/>
      <c r="F10" s="1"/>
      <c r="G10" s="1"/>
      <c r="H10" s="1"/>
      <c r="I10" s="45">
        <v>38869</v>
      </c>
      <c r="J10" s="46">
        <f>IF(B5=6,J9+B4,J9)</f>
        <v>1275</v>
      </c>
      <c r="K10" s="47">
        <f t="shared" si="3"/>
        <v>638</v>
      </c>
      <c r="L10" s="47">
        <f t="shared" si="0"/>
        <v>460</v>
      </c>
      <c r="M10" s="47">
        <f t="shared" si="4"/>
        <v>2373</v>
      </c>
      <c r="N10" s="46">
        <f t="shared" si="5"/>
        <v>3500</v>
      </c>
      <c r="O10" s="47">
        <f t="shared" si="1"/>
        <v>0</v>
      </c>
      <c r="P10" s="47">
        <f t="shared" si="6"/>
        <v>3500</v>
      </c>
      <c r="Q10" s="47">
        <f t="shared" si="2"/>
        <v>1127</v>
      </c>
      <c r="R10" s="33"/>
    </row>
    <row r="11" spans="1:18" ht="15.75">
      <c r="A11" s="37"/>
      <c r="B11" s="1"/>
      <c r="C11" s="1"/>
      <c r="E11" s="1"/>
      <c r="F11" s="1"/>
      <c r="G11" s="1"/>
      <c r="H11" s="1"/>
      <c r="I11" s="48">
        <v>38899</v>
      </c>
      <c r="J11" s="49">
        <f>IF(B5=7,J10+B4,J10)</f>
        <v>1275</v>
      </c>
      <c r="K11" s="47">
        <f t="shared" si="3"/>
        <v>638</v>
      </c>
      <c r="L11" s="50">
        <f aca="true" t="shared" si="7" ref="L11:L16">ROUNDUP(((J11+K11)*0.29),0)</f>
        <v>555</v>
      </c>
      <c r="M11" s="50">
        <f t="shared" si="4"/>
        <v>2468</v>
      </c>
      <c r="N11" s="49">
        <f>N10</f>
        <v>3500</v>
      </c>
      <c r="O11" s="50">
        <f aca="true" t="shared" si="8" ref="O11:O16">ROUNDUP(N11*0.02,0)</f>
        <v>70</v>
      </c>
      <c r="P11" s="50">
        <f t="shared" si="6"/>
        <v>3570</v>
      </c>
      <c r="Q11" s="50">
        <f t="shared" si="2"/>
        <v>1102</v>
      </c>
      <c r="R11" s="33"/>
    </row>
    <row r="12" spans="1:18" ht="15.75">
      <c r="A12" s="37"/>
      <c r="B12" s="1"/>
      <c r="C12" s="1"/>
      <c r="D12" s="13" t="s">
        <v>1</v>
      </c>
      <c r="E12" s="14"/>
      <c r="F12" s="1"/>
      <c r="G12" s="1"/>
      <c r="H12" s="1"/>
      <c r="I12" s="48">
        <v>38930</v>
      </c>
      <c r="J12" s="49">
        <f>IF(B5=8,J11+B4,J11)</f>
        <v>1275</v>
      </c>
      <c r="K12" s="47">
        <f t="shared" si="3"/>
        <v>638</v>
      </c>
      <c r="L12" s="50">
        <f t="shared" si="7"/>
        <v>555</v>
      </c>
      <c r="M12" s="50">
        <f t="shared" si="4"/>
        <v>2468</v>
      </c>
      <c r="N12" s="49">
        <f t="shared" si="5"/>
        <v>3500</v>
      </c>
      <c r="O12" s="50">
        <f t="shared" si="8"/>
        <v>70</v>
      </c>
      <c r="P12" s="50">
        <f t="shared" si="6"/>
        <v>3570</v>
      </c>
      <c r="Q12" s="50">
        <f t="shared" si="2"/>
        <v>1102</v>
      </c>
      <c r="R12" s="33"/>
    </row>
    <row r="13" spans="1:18" ht="15.75">
      <c r="A13" s="37"/>
      <c r="B13" s="1"/>
      <c r="C13" s="1"/>
      <c r="D13" s="62" t="s">
        <v>34</v>
      </c>
      <c r="E13" s="62"/>
      <c r="F13" s="1"/>
      <c r="G13" s="1"/>
      <c r="H13" s="1"/>
      <c r="I13" s="48">
        <v>38961</v>
      </c>
      <c r="J13" s="49">
        <f>IF(B5=9,J12+B4,J12)</f>
        <v>1275</v>
      </c>
      <c r="K13" s="47">
        <f t="shared" si="3"/>
        <v>638</v>
      </c>
      <c r="L13" s="50">
        <f t="shared" si="7"/>
        <v>555</v>
      </c>
      <c r="M13" s="50">
        <f t="shared" si="4"/>
        <v>2468</v>
      </c>
      <c r="N13" s="49">
        <f t="shared" si="5"/>
        <v>3500</v>
      </c>
      <c r="O13" s="50">
        <f t="shared" si="8"/>
        <v>70</v>
      </c>
      <c r="P13" s="50">
        <f t="shared" si="6"/>
        <v>3570</v>
      </c>
      <c r="Q13" s="50">
        <f t="shared" si="2"/>
        <v>1102</v>
      </c>
      <c r="R13" s="33"/>
    </row>
    <row r="14" spans="1:18" ht="16.5" thickBot="1">
      <c r="A14" s="1"/>
      <c r="B14" s="1"/>
      <c r="C14" s="1"/>
      <c r="D14" s="26" t="s">
        <v>35</v>
      </c>
      <c r="E14" s="11">
        <f>H31</f>
        <v>3500</v>
      </c>
      <c r="F14" s="1"/>
      <c r="G14" s="1"/>
      <c r="H14" s="1"/>
      <c r="I14" s="48">
        <v>38991</v>
      </c>
      <c r="J14" s="49">
        <f>IF(B5=10,J13+B4,J13)</f>
        <v>1275</v>
      </c>
      <c r="K14" s="47">
        <f t="shared" si="3"/>
        <v>638</v>
      </c>
      <c r="L14" s="50">
        <f t="shared" si="7"/>
        <v>555</v>
      </c>
      <c r="M14" s="50">
        <f t="shared" si="4"/>
        <v>2468</v>
      </c>
      <c r="N14" s="49">
        <f t="shared" si="5"/>
        <v>3500</v>
      </c>
      <c r="O14" s="50">
        <f t="shared" si="8"/>
        <v>70</v>
      </c>
      <c r="P14" s="50">
        <f t="shared" si="6"/>
        <v>3570</v>
      </c>
      <c r="Q14" s="50">
        <f t="shared" si="2"/>
        <v>1102</v>
      </c>
      <c r="R14" s="33"/>
    </row>
    <row r="15" spans="1:18" ht="16.5" thickBot="1">
      <c r="A15" s="59" t="s">
        <v>44</v>
      </c>
      <c r="B15" s="60"/>
      <c r="C15" s="1"/>
      <c r="D15" s="26" t="s">
        <v>2</v>
      </c>
      <c r="E15" s="11">
        <f>H33</f>
        <v>560</v>
      </c>
      <c r="F15" s="1"/>
      <c r="G15" s="1"/>
      <c r="H15" s="1"/>
      <c r="I15" s="48">
        <v>39022</v>
      </c>
      <c r="J15" s="49">
        <f>IF(B5=11,J14+B4,J14)</f>
        <v>1275</v>
      </c>
      <c r="K15" s="47">
        <f t="shared" si="3"/>
        <v>638</v>
      </c>
      <c r="L15" s="50">
        <f t="shared" si="7"/>
        <v>555</v>
      </c>
      <c r="M15" s="50">
        <f t="shared" si="4"/>
        <v>2468</v>
      </c>
      <c r="N15" s="49">
        <f t="shared" si="5"/>
        <v>3500</v>
      </c>
      <c r="O15" s="50">
        <f t="shared" si="8"/>
        <v>70</v>
      </c>
      <c r="P15" s="50">
        <f t="shared" si="6"/>
        <v>3570</v>
      </c>
      <c r="Q15" s="50">
        <f t="shared" si="2"/>
        <v>1102</v>
      </c>
      <c r="R15" s="33"/>
    </row>
    <row r="16" spans="1:18" ht="15.75">
      <c r="A16" s="1"/>
      <c r="B16" s="1"/>
      <c r="C16" s="1"/>
      <c r="D16" s="26" t="s">
        <v>41</v>
      </c>
      <c r="E16" s="11">
        <f>H34</f>
        <v>0</v>
      </c>
      <c r="F16" s="1"/>
      <c r="G16" s="1"/>
      <c r="H16" s="1"/>
      <c r="I16" s="48">
        <v>39052</v>
      </c>
      <c r="J16" s="49">
        <f>IF(B5=12,J15+B4,J15)</f>
        <v>1275</v>
      </c>
      <c r="K16" s="47">
        <f t="shared" si="3"/>
        <v>638</v>
      </c>
      <c r="L16" s="50">
        <f t="shared" si="7"/>
        <v>555</v>
      </c>
      <c r="M16" s="50">
        <f t="shared" si="4"/>
        <v>2468</v>
      </c>
      <c r="N16" s="49">
        <f t="shared" si="5"/>
        <v>3500</v>
      </c>
      <c r="O16" s="50">
        <f t="shared" si="8"/>
        <v>70</v>
      </c>
      <c r="P16" s="50">
        <f t="shared" si="6"/>
        <v>3570</v>
      </c>
      <c r="Q16" s="50">
        <f t="shared" si="2"/>
        <v>1102</v>
      </c>
      <c r="R16" s="33"/>
    </row>
    <row r="17" spans="1:18" ht="15.75">
      <c r="A17" s="1"/>
      <c r="B17" s="1"/>
      <c r="C17" s="1"/>
      <c r="D17" s="26"/>
      <c r="E17" s="11">
        <f>H35</f>
        <v>0</v>
      </c>
      <c r="F17" s="1"/>
      <c r="G17" s="1"/>
      <c r="H17" s="1"/>
      <c r="I17" s="48">
        <v>39083</v>
      </c>
      <c r="J17" s="49">
        <f>IF(B5=1,J16+B4,J16)</f>
        <v>1275</v>
      </c>
      <c r="K17" s="47">
        <f t="shared" si="3"/>
        <v>638</v>
      </c>
      <c r="L17" s="50">
        <f aca="true" t="shared" si="9" ref="L17:L22">ROUNDUP(((J17+K17)*0.35),0)</f>
        <v>670</v>
      </c>
      <c r="M17" s="50">
        <f t="shared" si="4"/>
        <v>2583</v>
      </c>
      <c r="N17" s="49">
        <f t="shared" si="5"/>
        <v>3500</v>
      </c>
      <c r="O17" s="50">
        <f aca="true" t="shared" si="10" ref="O17:O22">ROUNDUP((N17*0.06),0)</f>
        <v>210</v>
      </c>
      <c r="P17" s="50">
        <f t="shared" si="6"/>
        <v>3710</v>
      </c>
      <c r="Q17" s="50">
        <f t="shared" si="2"/>
        <v>1127</v>
      </c>
      <c r="R17" s="33"/>
    </row>
    <row r="18" spans="1:18" ht="15.75">
      <c r="A18" s="1"/>
      <c r="B18" s="1"/>
      <c r="C18" s="1"/>
      <c r="D18" s="26" t="s">
        <v>3</v>
      </c>
      <c r="E18" s="27">
        <f>SUM(E14:E17)</f>
        <v>4060</v>
      </c>
      <c r="F18" s="1"/>
      <c r="G18" s="1"/>
      <c r="H18" s="1"/>
      <c r="I18" s="48">
        <v>39114</v>
      </c>
      <c r="J18" s="49">
        <f>IF(B5=2,J17+B4,J17)</f>
        <v>1275</v>
      </c>
      <c r="K18" s="47">
        <f t="shared" si="3"/>
        <v>638</v>
      </c>
      <c r="L18" s="50">
        <f t="shared" si="9"/>
        <v>670</v>
      </c>
      <c r="M18" s="50">
        <f t="shared" si="4"/>
        <v>2583</v>
      </c>
      <c r="N18" s="49">
        <f t="shared" si="5"/>
        <v>3500</v>
      </c>
      <c r="O18" s="50">
        <f t="shared" si="10"/>
        <v>210</v>
      </c>
      <c r="P18" s="50">
        <f t="shared" si="6"/>
        <v>3710</v>
      </c>
      <c r="Q18" s="50">
        <f t="shared" si="2"/>
        <v>1127</v>
      </c>
      <c r="R18" s="33"/>
    </row>
    <row r="19" spans="1:18" ht="15.75">
      <c r="A19" s="1"/>
      <c r="B19" s="1"/>
      <c r="C19" s="1"/>
      <c r="D19" s="28" t="s">
        <v>42</v>
      </c>
      <c r="E19" s="34">
        <f>B5</f>
        <v>0</v>
      </c>
      <c r="F19" s="1"/>
      <c r="G19" s="1"/>
      <c r="H19" s="1"/>
      <c r="I19" s="48">
        <v>39142</v>
      </c>
      <c r="J19" s="49">
        <f>IF(B5=3,J18+B4,J18)</f>
        <v>1275</v>
      </c>
      <c r="K19" s="47">
        <f t="shared" si="3"/>
        <v>638</v>
      </c>
      <c r="L19" s="50">
        <f t="shared" si="9"/>
        <v>670</v>
      </c>
      <c r="M19" s="50">
        <f t="shared" si="4"/>
        <v>2583</v>
      </c>
      <c r="N19" s="49">
        <f t="shared" si="5"/>
        <v>3500</v>
      </c>
      <c r="O19" s="50">
        <f t="shared" si="10"/>
        <v>210</v>
      </c>
      <c r="P19" s="50">
        <f t="shared" si="6"/>
        <v>3710</v>
      </c>
      <c r="Q19" s="50">
        <f t="shared" si="2"/>
        <v>1127</v>
      </c>
      <c r="R19" s="33"/>
    </row>
    <row r="20" spans="1:18" ht="15.75">
      <c r="A20" s="1"/>
      <c r="B20" s="1"/>
      <c r="C20" s="1"/>
      <c r="D20" s="26"/>
      <c r="E20" s="34"/>
      <c r="F20" s="1"/>
      <c r="G20" s="1"/>
      <c r="H20" s="1"/>
      <c r="I20" s="48">
        <v>39173</v>
      </c>
      <c r="J20" s="49">
        <f>IF(B5=4,J19+B4,J19)</f>
        <v>1275</v>
      </c>
      <c r="K20" s="47">
        <f t="shared" si="3"/>
        <v>638</v>
      </c>
      <c r="L20" s="50">
        <f t="shared" si="9"/>
        <v>670</v>
      </c>
      <c r="M20" s="50">
        <f t="shared" si="4"/>
        <v>2583</v>
      </c>
      <c r="N20" s="49">
        <f t="shared" si="5"/>
        <v>3500</v>
      </c>
      <c r="O20" s="50">
        <f t="shared" si="10"/>
        <v>210</v>
      </c>
      <c r="P20" s="50">
        <f t="shared" si="6"/>
        <v>3710</v>
      </c>
      <c r="Q20" s="50">
        <f t="shared" si="2"/>
        <v>1127</v>
      </c>
      <c r="R20" s="33"/>
    </row>
    <row r="21" spans="1:18" ht="15.75">
      <c r="A21" s="1"/>
      <c r="B21" s="1"/>
      <c r="C21" s="1"/>
      <c r="D21" s="26" t="s">
        <v>21</v>
      </c>
      <c r="E21" s="27">
        <f>SUM(E18-G23-E19)</f>
        <v>4060</v>
      </c>
      <c r="F21" s="1"/>
      <c r="G21" s="1"/>
      <c r="H21" s="1"/>
      <c r="I21" s="48">
        <v>39203</v>
      </c>
      <c r="J21" s="49">
        <f>IF(B5=5,J20+B4,J20)</f>
        <v>1275</v>
      </c>
      <c r="K21" s="47">
        <f t="shared" si="3"/>
        <v>638</v>
      </c>
      <c r="L21" s="50">
        <f t="shared" si="9"/>
        <v>670</v>
      </c>
      <c r="M21" s="50">
        <f t="shared" si="4"/>
        <v>2583</v>
      </c>
      <c r="N21" s="49">
        <f t="shared" si="5"/>
        <v>3500</v>
      </c>
      <c r="O21" s="50">
        <f t="shared" si="10"/>
        <v>210</v>
      </c>
      <c r="P21" s="50">
        <f t="shared" si="6"/>
        <v>3710</v>
      </c>
      <c r="Q21" s="50">
        <f t="shared" si="2"/>
        <v>1127</v>
      </c>
      <c r="R21" s="33"/>
    </row>
    <row r="22" spans="1:18" ht="15.75">
      <c r="A22" s="1"/>
      <c r="B22" s="1"/>
      <c r="C22" s="1"/>
      <c r="D22" s="1"/>
      <c r="E22" s="1"/>
      <c r="F22" s="1"/>
      <c r="G22" s="1"/>
      <c r="H22" s="1"/>
      <c r="I22" s="48">
        <v>39234</v>
      </c>
      <c r="J22" s="49">
        <f>IF(B5=6,J21+B4,J21)</f>
        <v>1275</v>
      </c>
      <c r="K22" s="47">
        <f t="shared" si="3"/>
        <v>638</v>
      </c>
      <c r="L22" s="50">
        <f t="shared" si="9"/>
        <v>670</v>
      </c>
      <c r="M22" s="50">
        <f t="shared" si="4"/>
        <v>2583</v>
      </c>
      <c r="N22" s="49">
        <f t="shared" si="5"/>
        <v>3500</v>
      </c>
      <c r="O22" s="50">
        <f t="shared" si="10"/>
        <v>210</v>
      </c>
      <c r="P22" s="50">
        <f t="shared" si="6"/>
        <v>3710</v>
      </c>
      <c r="Q22" s="50">
        <f t="shared" si="2"/>
        <v>1127</v>
      </c>
      <c r="R22" s="33"/>
    </row>
    <row r="23" spans="1:18" ht="15.75">
      <c r="A23" s="1"/>
      <c r="B23" s="1"/>
      <c r="C23" s="1"/>
      <c r="D23" s="1"/>
      <c r="E23" s="1"/>
      <c r="F23" s="1"/>
      <c r="G23" s="1"/>
      <c r="H23" s="1"/>
      <c r="I23" s="48">
        <v>39264</v>
      </c>
      <c r="J23" s="49">
        <f>IF(B5=7,J22+B4,J22)</f>
        <v>1275</v>
      </c>
      <c r="K23" s="47">
        <f t="shared" si="3"/>
        <v>638</v>
      </c>
      <c r="L23" s="50">
        <f aca="true" t="shared" si="11" ref="L23:L28">ROUNDUP(((J23+K23)*0.41),0)</f>
        <v>785</v>
      </c>
      <c r="M23" s="50">
        <f t="shared" si="4"/>
        <v>2698</v>
      </c>
      <c r="N23" s="49">
        <f>N22</f>
        <v>3500</v>
      </c>
      <c r="O23" s="50">
        <f aca="true" t="shared" si="12" ref="O23:O28">ROUNDUP((N23*0.09),0)</f>
        <v>315</v>
      </c>
      <c r="P23" s="50">
        <f t="shared" si="6"/>
        <v>3815</v>
      </c>
      <c r="Q23" s="50">
        <f t="shared" si="2"/>
        <v>1117</v>
      </c>
      <c r="R23" s="33"/>
    </row>
    <row r="24" spans="1:18" ht="15.75">
      <c r="A24" s="1"/>
      <c r="B24" s="1"/>
      <c r="C24" s="1"/>
      <c r="D24" s="1"/>
      <c r="E24" s="1"/>
      <c r="F24" s="1"/>
      <c r="G24" s="1"/>
      <c r="H24" s="1"/>
      <c r="I24" s="48">
        <v>39295</v>
      </c>
      <c r="J24" s="49">
        <f>IF(B5=8,J23+B4,J23)</f>
        <v>1275</v>
      </c>
      <c r="K24" s="47">
        <f t="shared" si="3"/>
        <v>638</v>
      </c>
      <c r="L24" s="50">
        <f t="shared" si="11"/>
        <v>785</v>
      </c>
      <c r="M24" s="50">
        <f t="shared" si="4"/>
        <v>2698</v>
      </c>
      <c r="N24" s="49">
        <f>N23</f>
        <v>3500</v>
      </c>
      <c r="O24" s="50">
        <f t="shared" si="12"/>
        <v>315</v>
      </c>
      <c r="P24" s="50">
        <f t="shared" si="6"/>
        <v>3815</v>
      </c>
      <c r="Q24" s="50">
        <f t="shared" si="2"/>
        <v>1117</v>
      </c>
      <c r="R24" s="33"/>
    </row>
    <row r="25" spans="1:18" ht="17.25" customHeight="1">
      <c r="A25" s="6" t="s">
        <v>4</v>
      </c>
      <c r="B25" s="7" t="s">
        <v>5</v>
      </c>
      <c r="C25" s="8" t="s">
        <v>6</v>
      </c>
      <c r="D25" s="2" t="s">
        <v>7</v>
      </c>
      <c r="E25" s="3" t="s">
        <v>8</v>
      </c>
      <c r="F25" s="4" t="s">
        <v>9</v>
      </c>
      <c r="G25" s="5" t="s">
        <v>10</v>
      </c>
      <c r="H25" s="9" t="s">
        <v>11</v>
      </c>
      <c r="I25" s="48">
        <v>39326</v>
      </c>
      <c r="J25" s="49">
        <f>IF(B5=9,J24+B4,J24)</f>
        <v>1275</v>
      </c>
      <c r="K25" s="47">
        <f t="shared" si="3"/>
        <v>638</v>
      </c>
      <c r="L25" s="50">
        <f t="shared" si="11"/>
        <v>785</v>
      </c>
      <c r="M25" s="50">
        <f t="shared" si="4"/>
        <v>2698</v>
      </c>
      <c r="N25" s="49">
        <f aca="true" t="shared" si="13" ref="N25:N34">N24</f>
        <v>3500</v>
      </c>
      <c r="O25" s="50">
        <f t="shared" si="12"/>
        <v>315</v>
      </c>
      <c r="P25" s="50">
        <f t="shared" si="6"/>
        <v>3815</v>
      </c>
      <c r="Q25" s="50">
        <f t="shared" si="2"/>
        <v>1117</v>
      </c>
      <c r="R25" s="33"/>
    </row>
    <row r="26" spans="1:18" ht="15.75">
      <c r="A26" s="6" t="s">
        <v>12</v>
      </c>
      <c r="B26" s="3">
        <v>24</v>
      </c>
      <c r="C26" s="3">
        <v>29</v>
      </c>
      <c r="D26" s="3">
        <v>35</v>
      </c>
      <c r="E26" s="3">
        <v>41</v>
      </c>
      <c r="F26" s="3">
        <v>47</v>
      </c>
      <c r="G26" s="3">
        <v>47</v>
      </c>
      <c r="H26" s="3">
        <v>47</v>
      </c>
      <c r="I26" s="48">
        <v>39356</v>
      </c>
      <c r="J26" s="49">
        <f>IF(B5=10,J25+B4,J25)</f>
        <v>1275</v>
      </c>
      <c r="K26" s="47">
        <f t="shared" si="3"/>
        <v>638</v>
      </c>
      <c r="L26" s="50">
        <f t="shared" si="11"/>
        <v>785</v>
      </c>
      <c r="M26" s="50">
        <f t="shared" si="4"/>
        <v>2698</v>
      </c>
      <c r="N26" s="49">
        <f t="shared" si="13"/>
        <v>3500</v>
      </c>
      <c r="O26" s="50">
        <f t="shared" si="12"/>
        <v>315</v>
      </c>
      <c r="P26" s="50">
        <f t="shared" si="6"/>
        <v>3815</v>
      </c>
      <c r="Q26" s="50">
        <f t="shared" si="2"/>
        <v>1117</v>
      </c>
      <c r="R26" s="33"/>
    </row>
    <row r="27" spans="1:18" ht="15.75">
      <c r="A27" s="6" t="s">
        <v>13</v>
      </c>
      <c r="B27" s="5">
        <v>0</v>
      </c>
      <c r="C27" s="5">
        <v>2</v>
      </c>
      <c r="D27" s="5">
        <v>6</v>
      </c>
      <c r="E27" s="5">
        <v>9</v>
      </c>
      <c r="F27" s="5">
        <v>12</v>
      </c>
      <c r="G27" s="5">
        <v>16</v>
      </c>
      <c r="H27" s="5">
        <v>16</v>
      </c>
      <c r="I27" s="48">
        <v>39387</v>
      </c>
      <c r="J27" s="49">
        <f>IF(B5=11,J26+B4,J26)</f>
        <v>1275</v>
      </c>
      <c r="K27" s="47">
        <f t="shared" si="3"/>
        <v>638</v>
      </c>
      <c r="L27" s="50">
        <f t="shared" si="11"/>
        <v>785</v>
      </c>
      <c r="M27" s="50">
        <f t="shared" si="4"/>
        <v>2698</v>
      </c>
      <c r="N27" s="49">
        <f t="shared" si="13"/>
        <v>3500</v>
      </c>
      <c r="O27" s="50">
        <f t="shared" si="12"/>
        <v>315</v>
      </c>
      <c r="P27" s="50">
        <f t="shared" si="6"/>
        <v>3815</v>
      </c>
      <c r="Q27" s="50">
        <f t="shared" si="2"/>
        <v>1117</v>
      </c>
      <c r="R27" s="33"/>
    </row>
    <row r="28" spans="1:18" ht="15.75">
      <c r="A28" s="6" t="s">
        <v>25</v>
      </c>
      <c r="B28" s="30">
        <f>B3</f>
        <v>1275</v>
      </c>
      <c r="C28" s="10"/>
      <c r="D28" s="10"/>
      <c r="E28" s="10"/>
      <c r="F28" s="10"/>
      <c r="G28" s="10"/>
      <c r="H28" s="10"/>
      <c r="I28" s="48">
        <v>39417</v>
      </c>
      <c r="J28" s="49">
        <f>IF(B5=12,J27+B4,J27)</f>
        <v>1275</v>
      </c>
      <c r="K28" s="47">
        <f t="shared" si="3"/>
        <v>638</v>
      </c>
      <c r="L28" s="50">
        <f t="shared" si="11"/>
        <v>785</v>
      </c>
      <c r="M28" s="50">
        <f t="shared" si="4"/>
        <v>2698</v>
      </c>
      <c r="N28" s="49">
        <f t="shared" si="13"/>
        <v>3500</v>
      </c>
      <c r="O28" s="50">
        <f t="shared" si="12"/>
        <v>315</v>
      </c>
      <c r="P28" s="50">
        <f t="shared" si="6"/>
        <v>3815</v>
      </c>
      <c r="Q28" s="50">
        <f t="shared" si="2"/>
        <v>1117</v>
      </c>
      <c r="R28" s="33"/>
    </row>
    <row r="29" spans="1:18" ht="15.75">
      <c r="A29" s="6" t="s">
        <v>28</v>
      </c>
      <c r="B29" s="30">
        <f>IF((ROUNDUP((B28*1.86),2)-MOD(ROUND((B28*1.86),2),-1)+40%*B28)&lt;=3500,3500,(((ROUNDUP((B28*1.86),0)+(ROUNDUP((B28*40/100),0))))))</f>
        <v>3500</v>
      </c>
      <c r="C29" s="10"/>
      <c r="D29" s="10"/>
      <c r="E29" s="10"/>
      <c r="F29" s="10"/>
      <c r="G29" s="10"/>
      <c r="H29" s="10"/>
      <c r="I29" s="48">
        <v>39448</v>
      </c>
      <c r="J29" s="49">
        <f>IF(B5=1,J28+B4,J28)</f>
        <v>1275</v>
      </c>
      <c r="K29" s="47">
        <f t="shared" si="3"/>
        <v>638</v>
      </c>
      <c r="L29" s="50">
        <f>ROUNDUP(((J29+K29)*0.47),0)</f>
        <v>900</v>
      </c>
      <c r="M29" s="50">
        <f t="shared" si="4"/>
        <v>2813</v>
      </c>
      <c r="N29" s="49">
        <f t="shared" si="13"/>
        <v>3500</v>
      </c>
      <c r="O29" s="50">
        <f aca="true" t="shared" si="14" ref="O29:O34">ROUNDUP((N29*0.12),0)</f>
        <v>420</v>
      </c>
      <c r="P29" s="50">
        <f t="shared" si="6"/>
        <v>3920</v>
      </c>
      <c r="Q29" s="50">
        <f t="shared" si="2"/>
        <v>1107</v>
      </c>
      <c r="R29" s="33"/>
    </row>
    <row r="30" spans="1:18" ht="15.75">
      <c r="A30" s="6" t="s">
        <v>29</v>
      </c>
      <c r="B30" s="30">
        <f>ROUNDUP((B6/100*B29),0)</f>
        <v>0</v>
      </c>
      <c r="C30" s="10"/>
      <c r="D30" s="10"/>
      <c r="E30" s="10"/>
      <c r="F30" s="10"/>
      <c r="G30" s="10"/>
      <c r="H30" s="10"/>
      <c r="I30" s="48">
        <v>39479</v>
      </c>
      <c r="J30" s="49">
        <f>IF(B5=2,J29+B4,J29)</f>
        <v>1275</v>
      </c>
      <c r="K30" s="47">
        <f t="shared" si="3"/>
        <v>638</v>
      </c>
      <c r="L30" s="50">
        <f aca="true" t="shared" si="15" ref="L30:L36">ROUNDUP(((J30+K30)*0.47),0)</f>
        <v>900</v>
      </c>
      <c r="M30" s="50">
        <f t="shared" si="4"/>
        <v>2813</v>
      </c>
      <c r="N30" s="49">
        <f t="shared" si="13"/>
        <v>3500</v>
      </c>
      <c r="O30" s="50">
        <f t="shared" si="14"/>
        <v>420</v>
      </c>
      <c r="P30" s="50">
        <f t="shared" si="6"/>
        <v>3920</v>
      </c>
      <c r="Q30" s="50">
        <f t="shared" si="2"/>
        <v>1107</v>
      </c>
      <c r="R30" s="33"/>
    </row>
    <row r="31" spans="1:18" ht="15.75">
      <c r="A31" s="6" t="s">
        <v>31</v>
      </c>
      <c r="B31" s="2">
        <f>SUM(B29:B30)</f>
        <v>3500</v>
      </c>
      <c r="C31" s="2">
        <f aca="true" t="shared" si="16" ref="C31:H31">B31</f>
        <v>3500</v>
      </c>
      <c r="D31" s="2">
        <f t="shared" si="16"/>
        <v>3500</v>
      </c>
      <c r="E31" s="2">
        <f t="shared" si="16"/>
        <v>3500</v>
      </c>
      <c r="F31" s="2">
        <f t="shared" si="16"/>
        <v>3500</v>
      </c>
      <c r="G31" s="2">
        <f t="shared" si="16"/>
        <v>3500</v>
      </c>
      <c r="H31" s="2">
        <f t="shared" si="16"/>
        <v>3500</v>
      </c>
      <c r="I31" s="48">
        <v>39508</v>
      </c>
      <c r="J31" s="49">
        <f>IF(B5=3,J30+B4,J30)</f>
        <v>1275</v>
      </c>
      <c r="K31" s="47">
        <f t="shared" si="3"/>
        <v>638</v>
      </c>
      <c r="L31" s="50">
        <f t="shared" si="15"/>
        <v>900</v>
      </c>
      <c r="M31" s="50">
        <f t="shared" si="4"/>
        <v>2813</v>
      </c>
      <c r="N31" s="49">
        <f t="shared" si="13"/>
        <v>3500</v>
      </c>
      <c r="O31" s="50">
        <f t="shared" si="14"/>
        <v>420</v>
      </c>
      <c r="P31" s="50">
        <f t="shared" si="6"/>
        <v>3920</v>
      </c>
      <c r="Q31" s="50">
        <f t="shared" si="2"/>
        <v>1107</v>
      </c>
      <c r="R31" s="33"/>
    </row>
    <row r="32" spans="1:18" ht="15.75">
      <c r="A32" s="6" t="s">
        <v>27</v>
      </c>
      <c r="B32" s="4">
        <f>B5</f>
        <v>0</v>
      </c>
      <c r="C32" s="4">
        <f>B5</f>
        <v>0</v>
      </c>
      <c r="D32" s="4">
        <f>B5</f>
        <v>0</v>
      </c>
      <c r="E32" s="4">
        <f>B5</f>
        <v>0</v>
      </c>
      <c r="F32" s="4">
        <f>B5</f>
        <v>0</v>
      </c>
      <c r="G32" s="4">
        <f>B5</f>
        <v>0</v>
      </c>
      <c r="H32" s="4">
        <f>B5</f>
        <v>0</v>
      </c>
      <c r="I32" s="48">
        <v>39539</v>
      </c>
      <c r="J32" s="49">
        <f>IF(B5=4,J31+B4,J31)</f>
        <v>1275</v>
      </c>
      <c r="K32" s="47">
        <f t="shared" si="3"/>
        <v>638</v>
      </c>
      <c r="L32" s="50">
        <f t="shared" si="15"/>
        <v>900</v>
      </c>
      <c r="M32" s="50">
        <f t="shared" si="4"/>
        <v>2813</v>
      </c>
      <c r="N32" s="51">
        <f t="shared" si="13"/>
        <v>3500</v>
      </c>
      <c r="O32" s="50">
        <f t="shared" si="14"/>
        <v>420</v>
      </c>
      <c r="P32" s="50">
        <f t="shared" si="6"/>
        <v>3920</v>
      </c>
      <c r="Q32" s="50">
        <f t="shared" si="2"/>
        <v>1107</v>
      </c>
      <c r="R32" s="33"/>
    </row>
    <row r="33" spans="1:18" ht="15.75">
      <c r="A33" s="6" t="s">
        <v>32</v>
      </c>
      <c r="B33" s="3">
        <f>ROUNDUP(SUM(B31)*0,0)</f>
        <v>0</v>
      </c>
      <c r="C33" s="3">
        <f>ROUNDUP(SUM(C31)*0.02,0)</f>
        <v>70</v>
      </c>
      <c r="D33" s="3">
        <f>ROUNDUP(SUM(D31)*0.06,0)</f>
        <v>210</v>
      </c>
      <c r="E33" s="3">
        <f>ROUNDUP(SUM(E31)*0.09,0)</f>
        <v>315</v>
      </c>
      <c r="F33" s="3">
        <f>ROUNDUP(SUM(F31)*0.12,0)</f>
        <v>420</v>
      </c>
      <c r="G33" s="3">
        <f>ROUNDUP(SUM(G31)*0.16,0)</f>
        <v>560</v>
      </c>
      <c r="H33" s="3">
        <f>ROUNDUP(SUM(H31)*0.16,0)</f>
        <v>560</v>
      </c>
      <c r="I33" s="48">
        <v>39569</v>
      </c>
      <c r="J33" s="49">
        <f>IF(B5=5,J32+B4,J32)</f>
        <v>1275</v>
      </c>
      <c r="K33" s="47">
        <f t="shared" si="3"/>
        <v>638</v>
      </c>
      <c r="L33" s="50">
        <f t="shared" si="15"/>
        <v>900</v>
      </c>
      <c r="M33" s="50">
        <f t="shared" si="4"/>
        <v>2813</v>
      </c>
      <c r="N33" s="49">
        <f t="shared" si="13"/>
        <v>3500</v>
      </c>
      <c r="O33" s="50">
        <f t="shared" si="14"/>
        <v>420</v>
      </c>
      <c r="P33" s="50">
        <f t="shared" si="6"/>
        <v>3920</v>
      </c>
      <c r="Q33" s="50">
        <f t="shared" si="2"/>
        <v>1107</v>
      </c>
      <c r="R33" s="33"/>
    </row>
    <row r="34" spans="1:18" ht="15.75">
      <c r="A34" s="6" t="s">
        <v>33</v>
      </c>
      <c r="B34" s="29">
        <f>B7</f>
        <v>0</v>
      </c>
      <c r="C34" s="29">
        <f>B7</f>
        <v>0</v>
      </c>
      <c r="D34" s="29">
        <f>B7</f>
        <v>0</v>
      </c>
      <c r="E34" s="29">
        <f>B7</f>
        <v>0</v>
      </c>
      <c r="F34" s="29">
        <f>B7</f>
        <v>0</v>
      </c>
      <c r="G34" s="29">
        <f>B7</f>
        <v>0</v>
      </c>
      <c r="H34" s="29">
        <f>B7</f>
        <v>0</v>
      </c>
      <c r="I34" s="48">
        <v>39600</v>
      </c>
      <c r="J34" s="49">
        <f>IF(B5=6,J33+B4,J33)</f>
        <v>1275</v>
      </c>
      <c r="K34" s="47">
        <f t="shared" si="3"/>
        <v>638</v>
      </c>
      <c r="L34" s="50">
        <f t="shared" si="15"/>
        <v>900</v>
      </c>
      <c r="M34" s="50">
        <f t="shared" si="4"/>
        <v>2813</v>
      </c>
      <c r="N34" s="49">
        <f t="shared" si="13"/>
        <v>3500</v>
      </c>
      <c r="O34" s="50">
        <f t="shared" si="14"/>
        <v>420</v>
      </c>
      <c r="P34" s="50">
        <f t="shared" si="6"/>
        <v>3920</v>
      </c>
      <c r="Q34" s="50">
        <f t="shared" si="2"/>
        <v>1107</v>
      </c>
      <c r="R34" s="33"/>
    </row>
    <row r="35" spans="1:18" ht="15.75">
      <c r="A35" s="6"/>
      <c r="B35" s="3"/>
      <c r="C35" s="3"/>
      <c r="D35" s="3"/>
      <c r="E35" s="3"/>
      <c r="F35" s="3"/>
      <c r="G35" s="3"/>
      <c r="H35" s="3">
        <f>SUM((B8*0.16),B8)</f>
        <v>0</v>
      </c>
      <c r="I35" s="48">
        <v>39630</v>
      </c>
      <c r="J35" s="49">
        <f>IF(B5=7,J34+B4,J34)</f>
        <v>1275</v>
      </c>
      <c r="K35" s="47">
        <f t="shared" si="3"/>
        <v>638</v>
      </c>
      <c r="L35" s="50">
        <f t="shared" si="15"/>
        <v>900</v>
      </c>
      <c r="M35" s="50">
        <f t="shared" si="4"/>
        <v>2813</v>
      </c>
      <c r="N35" s="49">
        <f>N34</f>
        <v>3500</v>
      </c>
      <c r="O35" s="50">
        <f>ROUNDUP((N35*0.16),0)</f>
        <v>560</v>
      </c>
      <c r="P35" s="50">
        <f t="shared" si="6"/>
        <v>4060</v>
      </c>
      <c r="Q35" s="50">
        <f t="shared" si="2"/>
        <v>1247</v>
      </c>
      <c r="R35" s="33"/>
    </row>
    <row r="36" spans="1:18" ht="15.75">
      <c r="A36" s="6" t="s">
        <v>14</v>
      </c>
      <c r="B36" s="2">
        <f>SUM(B31+B33+B34-B32)</f>
        <v>3500</v>
      </c>
      <c r="C36" s="2">
        <f aca="true" t="shared" si="17" ref="C36:H36">SUM(C31+C33+C34-C32)</f>
        <v>3570</v>
      </c>
      <c r="D36" s="2">
        <f t="shared" si="17"/>
        <v>3710</v>
      </c>
      <c r="E36" s="2">
        <f t="shared" si="17"/>
        <v>3815</v>
      </c>
      <c r="F36" s="2">
        <f t="shared" si="17"/>
        <v>3920</v>
      </c>
      <c r="G36" s="2">
        <f t="shared" si="17"/>
        <v>4060</v>
      </c>
      <c r="H36" s="2">
        <f t="shared" si="17"/>
        <v>4060</v>
      </c>
      <c r="I36" s="48">
        <v>39661</v>
      </c>
      <c r="J36" s="49">
        <f>IF(B5=8,J35+B4,J35)</f>
        <v>1275</v>
      </c>
      <c r="K36" s="47">
        <f t="shared" si="3"/>
        <v>638</v>
      </c>
      <c r="L36" s="50">
        <f t="shared" si="15"/>
        <v>900</v>
      </c>
      <c r="M36" s="50">
        <f t="shared" si="4"/>
        <v>2813</v>
      </c>
      <c r="N36" s="49">
        <f>N35</f>
        <v>3500</v>
      </c>
      <c r="O36" s="50">
        <f>ROUNDUP((N36*0.16),0)</f>
        <v>560</v>
      </c>
      <c r="P36" s="50">
        <f t="shared" si="6"/>
        <v>4060</v>
      </c>
      <c r="Q36" s="50">
        <f t="shared" si="2"/>
        <v>1247</v>
      </c>
      <c r="R36" s="33"/>
    </row>
    <row r="37" spans="9:18" ht="15">
      <c r="I37" s="16"/>
      <c r="J37" s="16"/>
      <c r="K37" s="16"/>
      <c r="L37" s="16"/>
      <c r="M37" s="16"/>
      <c r="N37" s="16"/>
      <c r="O37" s="16"/>
      <c r="P37" s="16"/>
      <c r="R37">
        <f>SUM(R5:R36)</f>
        <v>0</v>
      </c>
    </row>
    <row r="39" spans="12:18" ht="15">
      <c r="L39" s="15"/>
      <c r="M39" s="15"/>
      <c r="N39" s="15"/>
      <c r="O39" s="15" t="s">
        <v>18</v>
      </c>
      <c r="P39" s="15"/>
      <c r="Q39" s="39">
        <f>SUM(Q5:Q36)</f>
        <v>35974</v>
      </c>
      <c r="R39" s="15"/>
    </row>
    <row r="40" spans="12:18" ht="15">
      <c r="L40" s="15"/>
      <c r="M40" s="15"/>
      <c r="N40" s="15"/>
      <c r="O40" s="15"/>
      <c r="P40" s="15"/>
      <c r="R40" s="15"/>
    </row>
    <row r="41" spans="12:18" ht="15">
      <c r="L41" s="15" t="s">
        <v>19</v>
      </c>
      <c r="M41" s="15"/>
      <c r="N41" s="15"/>
      <c r="O41" s="15"/>
      <c r="P41" s="15"/>
      <c r="Q41" s="39">
        <f>ROUND(Q39*0.4,0)</f>
        <v>14390</v>
      </c>
      <c r="R41" s="15"/>
    </row>
    <row r="42" spans="12:18" ht="15">
      <c r="L42" s="15"/>
      <c r="M42" s="15"/>
      <c r="N42" s="15"/>
      <c r="O42" s="15"/>
      <c r="P42" s="15"/>
      <c r="R42" s="15"/>
    </row>
    <row r="43" spans="12:18" ht="15">
      <c r="L43" s="15" t="s">
        <v>20</v>
      </c>
      <c r="M43" s="15"/>
      <c r="N43" s="15"/>
      <c r="O43" s="15"/>
      <c r="P43" s="15"/>
      <c r="Q43" s="52">
        <f>ROUND(Q39*0.6,0)</f>
        <v>21584</v>
      </c>
      <c r="R43" s="15"/>
    </row>
    <row r="46" spans="6:10" ht="15">
      <c r="F46" s="63"/>
      <c r="G46" s="63"/>
      <c r="H46" s="63"/>
      <c r="I46" s="63"/>
      <c r="J46" s="63"/>
    </row>
    <row r="47" spans="6:10" ht="15">
      <c r="F47" s="63"/>
      <c r="G47" s="63"/>
      <c r="H47" s="63"/>
      <c r="I47" s="63"/>
      <c r="J47" s="63"/>
    </row>
    <row r="48" spans="4:12" ht="15">
      <c r="D48" s="53" t="s">
        <v>40</v>
      </c>
      <c r="E48" s="53"/>
      <c r="F48" s="53"/>
      <c r="G48" s="53"/>
      <c r="H48" s="53"/>
      <c r="I48" s="53"/>
      <c r="J48" s="53"/>
      <c r="K48" s="53"/>
      <c r="L48" s="53"/>
    </row>
    <row r="49" spans="4:12" ht="16.5" customHeight="1">
      <c r="D49" s="53"/>
      <c r="E49" s="53"/>
      <c r="F49" s="53"/>
      <c r="G49" s="53"/>
      <c r="H49" s="53"/>
      <c r="I49" s="53"/>
      <c r="J49" s="53"/>
      <c r="K49" s="53"/>
      <c r="L49" s="53"/>
    </row>
  </sheetData>
  <sheetProtection password="80CB" sheet="1" formatColumns="0" formatRows="0" insertColumns="0" insertRows="0" selectLockedCells="1"/>
  <mergeCells count="8">
    <mergeCell ref="D48:L49"/>
    <mergeCell ref="B1:Q1"/>
    <mergeCell ref="B2:F2"/>
    <mergeCell ref="D4:G6"/>
    <mergeCell ref="A15:B15"/>
    <mergeCell ref="D3:F3"/>
    <mergeCell ref="D13:E13"/>
    <mergeCell ref="F46:J47"/>
  </mergeCells>
  <printOptions gridLines="1" headings="1"/>
  <pageMargins left="0.44" right="0.29" top="0.76" bottom="0.64" header="0.3" footer="0.23"/>
  <pageSetup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10"/>
  <sheetViews>
    <sheetView zoomScalePageLayoutView="0" workbookViewId="0" topLeftCell="A1">
      <selection activeCell="H12" sqref="H12"/>
    </sheetView>
  </sheetViews>
  <sheetFormatPr defaultColWidth="9.140625" defaultRowHeight="15"/>
  <sheetData>
    <row r="4" spans="3:6" ht="15">
      <c r="C4" s="17"/>
      <c r="D4" s="17"/>
      <c r="E4" s="17"/>
      <c r="F4" s="17"/>
    </row>
    <row r="5" spans="3:6" ht="15">
      <c r="C5" s="18"/>
      <c r="D5" s="19"/>
      <c r="E5" s="19"/>
      <c r="F5" s="19"/>
    </row>
    <row r="6" spans="3:6" ht="15">
      <c r="C6" s="20"/>
      <c r="D6" s="21"/>
      <c r="E6" s="21"/>
      <c r="F6" s="19"/>
    </row>
    <row r="7" spans="3:6" ht="15">
      <c r="C7" s="22"/>
      <c r="D7" s="23"/>
      <c r="E7" s="23"/>
      <c r="F7" s="19"/>
    </row>
    <row r="8" spans="3:6" ht="15">
      <c r="C8" s="22"/>
      <c r="D8" s="23"/>
      <c r="E8" s="23"/>
      <c r="F8" s="19"/>
    </row>
    <row r="9" spans="3:6" ht="15">
      <c r="C9" s="22"/>
      <c r="D9" s="23"/>
      <c r="E9" s="23"/>
      <c r="F9" s="19"/>
    </row>
    <row r="10" spans="3:6" ht="15">
      <c r="C10" s="22"/>
      <c r="D10" s="23"/>
      <c r="E10" s="23"/>
      <c r="F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cp:lastPrinted>2008-09-11T02:47:11Z</cp:lastPrinted>
  <dcterms:created xsi:type="dcterms:W3CDTF">2008-09-05T23:28:15Z</dcterms:created>
  <dcterms:modified xsi:type="dcterms:W3CDTF">2008-09-25T16:45:55Z</dcterms:modified>
  <cp:category/>
  <cp:version/>
  <cp:contentType/>
  <cp:contentStatus/>
</cp:coreProperties>
</file>